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73" activeTab="1"/>
  </bookViews>
  <sheets>
    <sheet name="Kurzbeschreibung" sheetId="1" r:id="rId1"/>
    <sheet name="Demo 1 Fzg" sheetId="2" r:id="rId2"/>
  </sheets>
  <definedNames>
    <definedName name="_xlnm.Print_Area" localSheetId="1">'Demo 1 Fzg'!$A$1:$H$100</definedName>
  </definedNames>
  <calcPr fullCalcOnLoad="1" iterate="1" iterateCount="100" iterateDelta="0.001"/>
</workbook>
</file>

<file path=xl/sharedStrings.xml><?xml version="1.0" encoding="utf-8"?>
<sst xmlns="http://schemas.openxmlformats.org/spreadsheetml/2006/main" count="91" uniqueCount="63">
  <si>
    <t>Angebot:</t>
  </si>
  <si>
    <t>Ausführungszeitraum von:</t>
  </si>
  <si>
    <t>bis:</t>
  </si>
  <si>
    <t xml:space="preserve">Monate: </t>
  </si>
  <si>
    <t>Anzahl Fahrtage:</t>
  </si>
  <si>
    <t xml:space="preserve">Tage im Zeitraum: </t>
  </si>
  <si>
    <t>Wagentyp:</t>
  </si>
  <si>
    <t>Alter bei Beginn:</t>
  </si>
  <si>
    <t>Monate</t>
  </si>
  <si>
    <t>Auszuführende Leistung</t>
  </si>
  <si>
    <t>Summe</t>
  </si>
  <si>
    <t>Besetzt km:</t>
  </si>
  <si>
    <t>km/Fahrtag</t>
  </si>
  <si>
    <t xml:space="preserve"> oder km Gesamt:</t>
  </si>
  <si>
    <t>Leer km:</t>
  </si>
  <si>
    <t xml:space="preserve"> oder Leeranteil [%]:</t>
  </si>
  <si>
    <t>oder Gesamt-km lt. Ausschreibung:</t>
  </si>
  <si>
    <t>Arbeitszeit des Fahrers</t>
  </si>
  <si>
    <t>Besetzt (Linie):</t>
  </si>
  <si>
    <t>Std/Fahrtag</t>
  </si>
  <si>
    <t>oder Std. Gesamt:</t>
  </si>
  <si>
    <t>Leer:</t>
  </si>
  <si>
    <t>oder Anteil [%]:</t>
  </si>
  <si>
    <t>Nebenzeiten</t>
  </si>
  <si>
    <t>oder Gesamt Stunden lt. Ausschreibung:</t>
  </si>
  <si>
    <t>Fixkosten Fahrzeug</t>
  </si>
  <si>
    <t>Wert des Fahrzeugs zu Beginn der Leistung:</t>
  </si>
  <si>
    <t xml:space="preserve"> Und Wert des Fahrzeugs zum Ende der Leistung:</t>
  </si>
  <si>
    <t>Oder: Wertverlust des Fahrzeugs p.a.:</t>
  </si>
  <si>
    <t>Anzurechnender Wertverlust:</t>
  </si>
  <si>
    <t>Finanzierungskosten für das Fahrzeug p.a.:</t>
  </si>
  <si>
    <t>Aufwendungen für Reifen p.a.:</t>
  </si>
  <si>
    <t>Aufwendungen für Versicherungen p.a.:</t>
  </si>
  <si>
    <t>Gesamt auf die Leistung anzurechnende Fixkosten Fzg.:</t>
  </si>
  <si>
    <t>Variable Kosten Fahrzeug</t>
  </si>
  <si>
    <t>Dieselverbrauch l/100km:</t>
  </si>
  <si>
    <t>Nettopreis je Liter:</t>
  </si>
  <si>
    <t>Reparatur / Wartung / Hilfstoffe je Kilometer:</t>
  </si>
  <si>
    <t>Gesamt variable Kosten:</t>
  </si>
  <si>
    <t>Kosten Fahrer</t>
  </si>
  <si>
    <t>Stundensatz Fahrer:</t>
  </si>
  <si>
    <t>sonstige Kosten</t>
  </si>
  <si>
    <t>Ihr Text</t>
  </si>
  <si>
    <t>[Euro p.a.]</t>
  </si>
  <si>
    <t>Summe sonstige Kosten:</t>
  </si>
  <si>
    <t>== Ergebnis ==</t>
  </si>
  <si>
    <t>Zwischensumme Kosten [Euro]:</t>
  </si>
  <si>
    <t>Wagnis und Gewinn [%]:</t>
  </si>
  <si>
    <t>Gesamtpreis [Euro]:</t>
  </si>
  <si>
    <t>Preis je gefahrenen km:</t>
  </si>
  <si>
    <t>Preis je Linien km:</t>
  </si>
  <si>
    <t>Kostenanteile an den Erstellungskosten (Zwischensumme = 100%):</t>
  </si>
  <si>
    <t>– Szenario – Dieselpreis Veränderung – Szenario -</t>
  </si>
  <si>
    <t>Preis alt:</t>
  </si>
  <si>
    <t>verändert sich zu [Euro/Liter]:</t>
  </si>
  <si>
    <t>Wagnis und Gewinn bleibt absolut gleich:</t>
  </si>
  <si>
    <t>Steigerung</t>
  </si>
  <si>
    <t>Veränderung</t>
  </si>
  <si>
    <t>– Szenario – Personalkosten Veränderung – Szenario -</t>
  </si>
  <si>
    <t>Stundensatz alt:</t>
  </si>
  <si>
    <t>verändert sich zu [Euro/Stunde]:</t>
  </si>
  <si>
    <t xml:space="preserve"> Kalkulationsblatt Wagenkalkulation </t>
  </si>
  <si>
    <t>NF 12m</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</si>
</sst>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0;[Red]\-#,##0.00"/>
    <numFmt numFmtId="166" formatCode="#,##0;[Red]\-#,##0"/>
    <numFmt numFmtId="167" formatCode="0.00%;[Red]\-0.00%"/>
    <numFmt numFmtId="168" formatCode="_-* #,##0.0\ _€_-;\-* #,##0.0\ _€_-;_-* &quot;-&quot;??\ _€_-;_-@_-"/>
    <numFmt numFmtId="169" formatCode="_-* #,##0\ _€_-;\-* #,##0\ _€_-;_-* &quot;-&quot;??\ _€_-;_-@_-"/>
  </numFmts>
  <fonts count="7">
    <font>
      <sz val="10"/>
      <name val="Arial"/>
      <family val="2"/>
    </font>
    <font>
      <sz val="12"/>
      <name val="Arial"/>
      <family val="2"/>
    </font>
    <font>
      <u val="single"/>
      <sz val="12"/>
      <name val="Arial"/>
      <family val="2"/>
    </font>
    <font>
      <sz val="11"/>
      <name val="Arial"/>
      <family val="2"/>
    </font>
    <font>
      <u val="single"/>
      <sz val="14"/>
      <name val="Arial"/>
      <family val="2"/>
    </font>
    <font>
      <b/>
      <sz val="11"/>
      <name val="Arial"/>
      <family val="2"/>
    </font>
    <font>
      <sz val="8"/>
      <name val="Tahoma"/>
      <family val="2"/>
    </font>
  </fonts>
  <fills count="6">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s>
  <borders count="11">
    <border>
      <left/>
      <right/>
      <top/>
      <bottom/>
      <diagonal/>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0" fillId="2" borderId="0" applyNumberFormat="0" applyFont="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56">
    <xf numFmtId="0" fontId="0" fillId="0" borderId="0" xfId="0" applyAlignment="1">
      <alignment/>
    </xf>
    <xf numFmtId="0" fontId="3" fillId="0" borderId="0" xfId="0" applyFont="1" applyAlignment="1">
      <alignment/>
    </xf>
    <xf numFmtId="0" fontId="3" fillId="0" borderId="0" xfId="0" applyFont="1" applyFill="1" applyAlignment="1">
      <alignment/>
    </xf>
    <xf numFmtId="0" fontId="3" fillId="0" borderId="1" xfId="0" applyFont="1" applyFill="1" applyBorder="1" applyAlignment="1">
      <alignment/>
    </xf>
    <xf numFmtId="0" fontId="3" fillId="0" borderId="2" xfId="0" applyFont="1" applyBorder="1" applyAlignment="1">
      <alignment horizontal="right" vertical="top"/>
    </xf>
    <xf numFmtId="0" fontId="3" fillId="0" borderId="3" xfId="0" applyFont="1" applyFill="1" applyBorder="1" applyAlignment="1">
      <alignment/>
    </xf>
    <xf numFmtId="0" fontId="3" fillId="0" borderId="4" xfId="0" applyFont="1" applyBorder="1" applyAlignment="1">
      <alignment/>
    </xf>
    <xf numFmtId="0" fontId="3" fillId="0" borderId="5" xfId="0" applyFont="1" applyFill="1" applyBorder="1" applyAlignment="1">
      <alignment/>
    </xf>
    <xf numFmtId="0" fontId="3" fillId="0" borderId="4" xfId="0" applyFont="1" applyBorder="1" applyAlignment="1">
      <alignment horizontal="right"/>
    </xf>
    <xf numFmtId="164" fontId="3" fillId="3" borderId="0" xfId="0" applyNumberFormat="1" applyFont="1" applyFill="1" applyAlignment="1" applyProtection="1">
      <alignment/>
      <protection locked="0"/>
    </xf>
    <xf numFmtId="0" fontId="3" fillId="0" borderId="0" xfId="0" applyFont="1" applyAlignment="1">
      <alignment horizontal="right"/>
    </xf>
    <xf numFmtId="0" fontId="3" fillId="3" borderId="0" xfId="0" applyFont="1" applyFill="1" applyAlignment="1" applyProtection="1">
      <alignment/>
      <protection locked="0"/>
    </xf>
    <xf numFmtId="0" fontId="3" fillId="0" borderId="6" xfId="0" applyFont="1" applyBorder="1" applyAlignment="1">
      <alignment horizontal="right"/>
    </xf>
    <xf numFmtId="0" fontId="3" fillId="3" borderId="7" xfId="0" applyFont="1" applyFill="1" applyBorder="1" applyAlignment="1" applyProtection="1">
      <alignment/>
      <protection locked="0"/>
    </xf>
    <xf numFmtId="0" fontId="3" fillId="0" borderId="7" xfId="0" applyFont="1" applyBorder="1" applyAlignment="1">
      <alignment/>
    </xf>
    <xf numFmtId="0" fontId="3" fillId="0" borderId="8" xfId="0" applyFont="1" applyFill="1" applyBorder="1" applyAlignment="1">
      <alignment/>
    </xf>
    <xf numFmtId="0" fontId="3" fillId="0" borderId="9" xfId="0" applyFont="1" applyBorder="1" applyAlignment="1">
      <alignment horizontal="center" vertical="center"/>
    </xf>
    <xf numFmtId="165" fontId="3" fillId="3" borderId="0" xfId="0" applyNumberFormat="1" applyFont="1" applyFill="1" applyAlignment="1" applyProtection="1">
      <alignment/>
      <protection locked="0"/>
    </xf>
    <xf numFmtId="166" fontId="3" fillId="3" borderId="0" xfId="0" applyNumberFormat="1" applyFont="1" applyFill="1" applyAlignment="1" applyProtection="1">
      <alignment/>
      <protection locked="0"/>
    </xf>
    <xf numFmtId="166" fontId="3" fillId="4" borderId="0" xfId="0" applyNumberFormat="1" applyFont="1" applyFill="1" applyAlignment="1">
      <alignment/>
    </xf>
    <xf numFmtId="166" fontId="3" fillId="0" borderId="5" xfId="0" applyNumberFormat="1" applyFont="1" applyFill="1" applyBorder="1" applyAlignment="1">
      <alignment/>
    </xf>
    <xf numFmtId="0" fontId="3" fillId="0" borderId="0" xfId="0" applyFont="1" applyAlignment="1">
      <alignment horizontal="left"/>
    </xf>
    <xf numFmtId="167" fontId="3" fillId="3" borderId="0" xfId="0" applyNumberFormat="1" applyFont="1" applyFill="1" applyAlignment="1" applyProtection="1">
      <alignment/>
      <protection locked="0"/>
    </xf>
    <xf numFmtId="0" fontId="0" fillId="0" borderId="5" xfId="0" applyFill="1" applyBorder="1" applyAlignment="1">
      <alignment/>
    </xf>
    <xf numFmtId="166" fontId="3" fillId="3" borderId="7" xfId="0" applyNumberFormat="1" applyFont="1" applyFill="1" applyBorder="1" applyAlignment="1" applyProtection="1">
      <alignment/>
      <protection locked="0"/>
    </xf>
    <xf numFmtId="166" fontId="3" fillId="4" borderId="7" xfId="0" applyNumberFormat="1" applyFont="1" applyFill="1" applyBorder="1" applyAlignment="1">
      <alignment/>
    </xf>
    <xf numFmtId="166" fontId="3" fillId="0" borderId="8" xfId="0" applyNumberFormat="1" applyFont="1" applyFill="1" applyBorder="1" applyAlignment="1">
      <alignment/>
    </xf>
    <xf numFmtId="166" fontId="3" fillId="5" borderId="7" xfId="0" applyNumberFormat="1" applyFont="1" applyFill="1" applyBorder="1" applyAlignment="1">
      <alignment/>
    </xf>
    <xf numFmtId="165" fontId="3" fillId="4" borderId="0" xfId="0" applyNumberFormat="1" applyFont="1" applyFill="1" applyAlignment="1">
      <alignment/>
    </xf>
    <xf numFmtId="165" fontId="3" fillId="5" borderId="7" xfId="0" applyNumberFormat="1" applyFont="1" applyFill="1" applyBorder="1" applyAlignment="1">
      <alignment/>
    </xf>
    <xf numFmtId="165" fontId="3" fillId="3" borderId="7" xfId="0" applyNumberFormat="1" applyFont="1" applyFill="1" applyBorder="1" applyAlignment="1" applyProtection="1">
      <alignment/>
      <protection locked="0"/>
    </xf>
    <xf numFmtId="165" fontId="5" fillId="4" borderId="0" xfId="0" applyNumberFormat="1" applyFont="1" applyFill="1" applyAlignment="1">
      <alignment/>
    </xf>
    <xf numFmtId="165" fontId="5" fillId="5" borderId="0" xfId="0" applyNumberFormat="1" applyFont="1" applyFill="1" applyBorder="1" applyAlignment="1">
      <alignment/>
    </xf>
    <xf numFmtId="10" fontId="3" fillId="0" borderId="0" xfId="0" applyNumberFormat="1" applyFont="1" applyFill="1" applyAlignment="1">
      <alignment/>
    </xf>
    <xf numFmtId="10" fontId="3" fillId="0" borderId="7" xfId="0" applyNumberFormat="1" applyFont="1" applyFill="1" applyBorder="1" applyAlignment="1">
      <alignment/>
    </xf>
    <xf numFmtId="0" fontId="3" fillId="0" borderId="7" xfId="0" applyFont="1" applyFill="1" applyBorder="1" applyAlignment="1">
      <alignment/>
    </xf>
    <xf numFmtId="165" fontId="3" fillId="0" borderId="0" xfId="0" applyNumberFormat="1" applyFont="1" applyAlignment="1">
      <alignment/>
    </xf>
    <xf numFmtId="10" fontId="3" fillId="0" borderId="0" xfId="0" applyNumberFormat="1" applyFont="1" applyAlignment="1">
      <alignment/>
    </xf>
    <xf numFmtId="0" fontId="3" fillId="0" borderId="0" xfId="0" applyFont="1" applyAlignment="1">
      <alignment horizontal="center"/>
    </xf>
    <xf numFmtId="0" fontId="3" fillId="0" borderId="4" xfId="0" applyFont="1" applyFill="1" applyBorder="1" applyAlignment="1">
      <alignment horizontal="right"/>
    </xf>
    <xf numFmtId="0" fontId="3" fillId="0" borderId="6" xfId="0" applyFont="1" applyFill="1" applyBorder="1" applyAlignment="1">
      <alignment horizontal="right"/>
    </xf>
    <xf numFmtId="0" fontId="0" fillId="0" borderId="0" xfId="0" applyAlignment="1" applyProtection="1">
      <alignment horizontal="left" vertical="top"/>
      <protection locked="0"/>
    </xf>
    <xf numFmtId="0" fontId="3" fillId="0" borderId="4" xfId="0" applyFont="1" applyBorder="1" applyAlignment="1">
      <alignment/>
    </xf>
    <xf numFmtId="0" fontId="3" fillId="0" borderId="4" xfId="0" applyFont="1" applyBorder="1" applyAlignment="1">
      <alignment horizontal="right"/>
    </xf>
    <xf numFmtId="10" fontId="3" fillId="0" borderId="0" xfId="0" applyNumberFormat="1" applyFont="1" applyBorder="1" applyAlignment="1">
      <alignment horizontal="center"/>
    </xf>
    <xf numFmtId="0" fontId="3" fillId="0" borderId="0" xfId="0" applyFont="1" applyAlignment="1">
      <alignment horizontal="right"/>
    </xf>
    <xf numFmtId="0" fontId="3" fillId="0" borderId="6" xfId="0" applyFont="1" applyBorder="1" applyAlignment="1">
      <alignment/>
    </xf>
    <xf numFmtId="0" fontId="5" fillId="0" borderId="2" xfId="0" applyFont="1" applyBorder="1" applyAlignment="1">
      <alignment horizontal="center" vertical="center"/>
    </xf>
    <xf numFmtId="0" fontId="3" fillId="0" borderId="0" xfId="0" applyFont="1" applyAlignment="1">
      <alignment/>
    </xf>
    <xf numFmtId="0" fontId="3" fillId="0" borderId="6" xfId="0" applyFont="1" applyBorder="1" applyAlignment="1">
      <alignment horizontal="right"/>
    </xf>
    <xf numFmtId="0" fontId="3" fillId="3" borderId="4" xfId="0" applyFont="1" applyFill="1" applyBorder="1" applyAlignment="1" applyProtection="1">
      <alignment horizontal="center"/>
      <protection locked="0"/>
    </xf>
    <xf numFmtId="0" fontId="3" fillId="0" borderId="2" xfId="0" applyFont="1" applyBorder="1" applyAlignment="1">
      <alignment horizontal="center" vertical="center"/>
    </xf>
    <xf numFmtId="0" fontId="3" fillId="3" borderId="7" xfId="0" applyFont="1" applyFill="1" applyBorder="1" applyAlignment="1" applyProtection="1">
      <alignment/>
      <protection locked="0"/>
    </xf>
    <xf numFmtId="0" fontId="3" fillId="0" borderId="7" xfId="0" applyFont="1" applyBorder="1" applyAlignment="1">
      <alignment horizontal="right"/>
    </xf>
    <xf numFmtId="0" fontId="4" fillId="0" borderId="10" xfId="0" applyFont="1" applyBorder="1" applyAlignment="1">
      <alignment horizontal="center" vertical="center"/>
    </xf>
    <xf numFmtId="169" fontId="0" fillId="0" borderId="0" xfId="15" applyNumberFormat="1" applyAlignment="1">
      <alignment/>
    </xf>
  </cellXfs>
  <cellStyles count="7">
    <cellStyle name="Normal" xfId="0"/>
    <cellStyle name="Comma" xfId="15"/>
    <cellStyle name="Comma [0]" xfId="16"/>
    <cellStyle name="Fehler" xfId="17"/>
    <cellStyle name="Percent" xfId="18"/>
    <cellStyle name="Currency" xfId="19"/>
    <cellStyle name="Currency [0]" xfId="20"/>
  </cellStyles>
  <dxfs count="1">
    <dxf>
      <fill>
        <patternFill patternType="solid">
          <fgColor rgb="FFFF6600"/>
          <bgColor rgb="FFFF3333"/>
        </patternFill>
      </fill>
      <border/>
    </dxf>
  </dxfs>
  <colors>
    <indexedColors>
      <rgbColor rgb="00000000"/>
      <rgbColor rgb="00FFFFFF"/>
      <rgbColor rgb="00FF0000"/>
      <rgbColor rgb="0000FF00"/>
      <rgbColor rgb="000000FF"/>
      <rgbColor rgb="00FFFF00"/>
      <rgbColor rgb="00FF00FF"/>
      <rgbColor rgb="0000FFFF"/>
      <rgbColor rgb="00000000"/>
      <rgbColor rgb="00E6E6E6"/>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85725</xdr:rowOff>
    </xdr:from>
    <xdr:to>
      <xdr:col>8</xdr:col>
      <xdr:colOff>571500</xdr:colOff>
      <xdr:row>43</xdr:row>
      <xdr:rowOff>152400</xdr:rowOff>
    </xdr:to>
    <xdr:sp fLocksText="0">
      <xdr:nvSpPr>
        <xdr:cNvPr id="1" name="TextBox 1"/>
        <xdr:cNvSpPr txBox="1">
          <a:spLocks noChangeArrowheads="1"/>
        </xdr:cNvSpPr>
      </xdr:nvSpPr>
      <xdr:spPr>
        <a:xfrm>
          <a:off x="342900" y="85725"/>
          <a:ext cx="6400800" cy="7029450"/>
        </a:xfrm>
        <a:prstGeom prst="rect">
          <a:avLst/>
        </a:prstGeom>
        <a:noFill/>
        <a:ln w="9525" cmpd="sng">
          <a:noFill/>
        </a:ln>
      </xdr:spPr>
      <xdr:txBody>
        <a:bodyPr vertOverflow="clip" wrap="square" lIns="0" tIns="0" rIns="0" bIns="0"/>
        <a:p>
          <a:pPr algn="l">
            <a:defRPr/>
          </a:pPr>
          <a:r>
            <a:rPr lang="en-US" cap="none" sz="1200" b="0" i="0" u="none" baseline="0">
              <a:latin typeface="Arial"/>
              <a:ea typeface="Arial"/>
              <a:cs typeface="Arial"/>
            </a:rPr>
            <a:t>Sehr geehrte Lesende,
Sie finden hier ein Beispiel für eine </a:t>
          </a:r>
          <a:r>
            <a:rPr lang="en-US" cap="none" sz="1200" b="0" i="0" u="sng" baseline="0">
              <a:latin typeface="Arial"/>
              <a:ea typeface="Arial"/>
              <a:cs typeface="Arial"/>
            </a:rPr>
            <a:t>einfache</a:t>
          </a:r>
          <a:r>
            <a:rPr lang="en-US" cap="none" sz="1200" b="0" i="0" u="none" baseline="0">
              <a:latin typeface="Arial"/>
              <a:ea typeface="Arial"/>
              <a:cs typeface="Arial"/>
            </a:rPr>
            <a:t>  „Wagenkalkulation“ im ÖPNV im folgenden Blatt „Demo 1 Fzg“. Das Arbeitsblatt berechnet aufgrund Ihrer Kosten und der geforderten Leistung einen Preis. Zusätzlich können Sie in 2 Szenarien überprüfen, wie sich dieser Preis ändern müßte, wenn
a) sich der Dieselpreis ändert.
b) sich die Personalkosten ändern.
Am Besten drucken Sie das Demoblatt einfach einmal aus und legen es vor sich.
</a:t>
          </a:r>
          <a:r>
            <a:rPr lang="en-US" cap="none" sz="1200" b="0" i="0" u="none" baseline="0">
              <a:latin typeface="Arial"/>
              <a:ea typeface="Arial"/>
              <a:cs typeface="Arial"/>
            </a:rPr>
            <a:t>Die hellgrauen Felder, die Sie auf dem Blatt sehen sind die Eingabefelder. Hier können Sie Ihre Eingaben machen.  In den meisten Fällen öffnet sich zusätzlich ein kleines Hinweisfenster, daß Ihnen Hinweise über die gewünschte Eingaben gibt. In den gelben und Türkisen Feldern erhalten Sie die Ergebnisse der Berechnungen.
Bitte stellen Sie sicher, daß Sie alle Kosten, die Sie in Ihrem Betrieb haben, auch in der Kalkulation abbilden. Wenn Sie weitere Hilfestellungen benötigen, wenden Sie gerne an mich. Ich helfe Ihnen gerne weiter.
</a:t>
          </a:r>
          <a:r>
            <a:rPr lang="en-US" cap="none" sz="1200" b="0" i="0" u="none" baseline="0">
              <a:latin typeface="Arial"/>
              <a:ea typeface="Arial"/>
              <a:cs typeface="Arial"/>
            </a:rPr>
            <a:t>Rechtliche Würdigung:
Dieses Arbeitsbuch ist „Public Domain“, d.h. es wird von mir kostenfrei allen Interessierten zur Verfügung gestellt. Jedermann darf mit diesem Arbeitsbuch arbeiten, es kopieren und Dritten zur Verfügung stellen. Sie dürfen es jedoch nicht abändern und müssen diesen Text </a:t>
          </a:r>
          <a:r>
            <a:rPr lang="en-US" cap="none" sz="1200" b="0" i="0" u="sng" baseline="0">
              <a:latin typeface="Arial"/>
              <a:ea typeface="Arial"/>
              <a:cs typeface="Arial"/>
            </a:rPr>
            <a:t>immer</a:t>
          </a:r>
          <a:r>
            <a:rPr lang="en-US" cap="none" sz="1200" b="0" i="0" u="none" baseline="0">
              <a:latin typeface="Arial"/>
              <a:ea typeface="Arial"/>
              <a:cs typeface="Arial"/>
            </a:rPr>
            <a:t> im Dokument belassen. Ich lehne jegliche Haftung für Schäden ab, die durch die Benutzung dieses Dokuments entstehen könnten. Sie benutzen das Dokument und die Rechenergebnisse auf eigene Gefahr.
Matthias Hübner, Roeschwoog im März 2009.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45" sqref="A45"/>
    </sheetView>
  </sheetViews>
  <sheetFormatPr defaultColWidth="11.57421875" defaultRowHeight="12.75"/>
  <sheetData/>
  <sheetProtection password="BAAE" sheet="1" objects="1" scenarios="1"/>
  <printOptions/>
  <pageMargins left="0.9840277777777777" right="0.27569444444444446" top="0.48958333333333337" bottom="0.7701388888888889" header="0.19652777777777777" footer="0.39375"/>
  <pageSetup firstPageNumber="1" useFirstPageNumber="1" horizontalDpi="300" verticalDpi="300" orientation="portrait" paperSize="9" r:id="rId2"/>
  <headerFooter alignWithMargins="0">
    <oddHeader>&amp;L&amp;14Dipl.-Ing. Matthias Hübner&amp;R&amp;14Verkehrsberatung</oddHeader>
    <oddFooter>&amp;L&amp;A
&amp;Z&amp;F&amp;R&amp;D - &amp;T
Seite &amp;P von &amp;N</oddFooter>
  </headerFooter>
  <drawing r:id="rId1"/>
</worksheet>
</file>

<file path=xl/worksheets/sheet2.xml><?xml version="1.0" encoding="utf-8"?>
<worksheet xmlns="http://schemas.openxmlformats.org/spreadsheetml/2006/main" xmlns:r="http://schemas.openxmlformats.org/officeDocument/2006/relationships">
  <dimension ref="A1:I100"/>
  <sheetViews>
    <sheetView tabSelected="1" workbookViewId="0" topLeftCell="A1">
      <selection activeCell="G26" sqref="G26"/>
    </sheetView>
  </sheetViews>
  <sheetFormatPr defaultColWidth="11.421875" defaultRowHeight="12.75"/>
  <cols>
    <col min="1" max="1" width="15.57421875" style="1" customWidth="1"/>
    <col min="2" max="5" width="11.57421875" style="1" customWidth="1"/>
    <col min="6" max="6" width="13.140625" style="1" customWidth="1"/>
    <col min="7" max="7" width="13.00390625" style="1" customWidth="1"/>
    <col min="8" max="8" width="2.00390625" style="2" customWidth="1"/>
    <col min="9" max="9" width="66.00390625" style="1" customWidth="1"/>
    <col min="10" max="16384" width="11.57421875" style="1" customWidth="1"/>
  </cols>
  <sheetData>
    <row r="1" spans="1:8" ht="34.5" customHeight="1">
      <c r="A1" s="54" t="s">
        <v>61</v>
      </c>
      <c r="B1" s="54"/>
      <c r="C1" s="54"/>
      <c r="D1" s="54"/>
      <c r="E1" s="54"/>
      <c r="F1" s="54"/>
      <c r="G1" s="54"/>
      <c r="H1" s="3"/>
    </row>
    <row r="2" spans="1:7" ht="2.25" customHeight="1">
      <c r="A2" s="48"/>
      <c r="B2" s="48"/>
      <c r="C2" s="48"/>
      <c r="D2" s="48"/>
      <c r="E2" s="48"/>
      <c r="F2" s="48"/>
      <c r="G2" s="48"/>
    </row>
    <row r="3" spans="1:8" ht="70.5" customHeight="1">
      <c r="A3" s="4" t="s">
        <v>0</v>
      </c>
      <c r="B3" s="41"/>
      <c r="C3" s="41"/>
      <c r="D3" s="41"/>
      <c r="E3" s="41"/>
      <c r="F3" s="41"/>
      <c r="G3" s="41"/>
      <c r="H3" s="5"/>
    </row>
    <row r="4" spans="1:8" ht="2.25" customHeight="1">
      <c r="A4" s="42"/>
      <c r="B4" s="42"/>
      <c r="C4" s="42"/>
      <c r="D4" s="42"/>
      <c r="E4" s="42"/>
      <c r="F4" s="42"/>
      <c r="G4" s="42"/>
      <c r="H4" s="7"/>
    </row>
    <row r="5" spans="1:8" ht="14.25">
      <c r="A5" s="43" t="s">
        <v>1</v>
      </c>
      <c r="B5" s="43"/>
      <c r="C5" s="9">
        <v>39814</v>
      </c>
      <c r="D5" s="10" t="s">
        <v>2</v>
      </c>
      <c r="E5" s="9">
        <v>39903</v>
      </c>
      <c r="F5" s="10" t="s">
        <v>3</v>
      </c>
      <c r="G5" s="55">
        <f>(YEAR(E5)*12+MONTH(E5))-(YEAR(C5)*12+MONTH(C5))+1</f>
        <v>3</v>
      </c>
      <c r="H5" s="7"/>
    </row>
    <row r="6" spans="1:9" ht="14.25">
      <c r="A6" s="43" t="s">
        <v>4</v>
      </c>
      <c r="B6" s="43"/>
      <c r="C6" s="11">
        <v>60</v>
      </c>
      <c r="D6" s="45" t="s">
        <v>5</v>
      </c>
      <c r="E6" s="45"/>
      <c r="F6" s="45"/>
      <c r="G6" s="55">
        <f>E5-C5+1</f>
        <v>90</v>
      </c>
      <c r="H6" s="7"/>
      <c r="I6" s="1">
        <f>IF(C6&gt;G6,"Zahl der Fahrtage ist größer als die Zahl der Tage im Zeitraum","")</f>
      </c>
    </row>
    <row r="7" spans="1:8" ht="14.25">
      <c r="A7" s="6"/>
      <c r="H7" s="7"/>
    </row>
    <row r="8" spans="1:8" ht="14.25">
      <c r="A8" s="12" t="s">
        <v>6</v>
      </c>
      <c r="B8" s="52" t="s">
        <v>62</v>
      </c>
      <c r="C8" s="52"/>
      <c r="D8" s="53" t="s">
        <v>7</v>
      </c>
      <c r="E8" s="53"/>
      <c r="F8" s="13">
        <v>14</v>
      </c>
      <c r="G8" s="14" t="s">
        <v>8</v>
      </c>
      <c r="H8" s="15"/>
    </row>
    <row r="9" spans="1:7" ht="2.25" customHeight="1">
      <c r="A9" s="48"/>
      <c r="B9" s="48"/>
      <c r="C9" s="48"/>
      <c r="D9" s="48"/>
      <c r="E9" s="48"/>
      <c r="F9" s="48"/>
      <c r="G9" s="48"/>
    </row>
    <row r="10" spans="1:8" ht="27.75" customHeight="1">
      <c r="A10" s="51" t="s">
        <v>9</v>
      </c>
      <c r="B10" s="51"/>
      <c r="C10" s="51"/>
      <c r="D10" s="51"/>
      <c r="E10" s="51"/>
      <c r="F10" s="51"/>
      <c r="G10" s="16" t="s">
        <v>10</v>
      </c>
      <c r="H10" s="5"/>
    </row>
    <row r="11" spans="1:9" ht="14.25">
      <c r="A11" s="8" t="s">
        <v>11</v>
      </c>
      <c r="B11" s="17">
        <v>395</v>
      </c>
      <c r="C11" s="1" t="s">
        <v>12</v>
      </c>
      <c r="D11" s="45" t="s">
        <v>13</v>
      </c>
      <c r="E11" s="45"/>
      <c r="F11" s="18"/>
      <c r="G11" s="19">
        <f>IF(B11&gt;0,IF(C$6*B11&gt;F11,C$6*B11,F11),F11)</f>
        <v>23700</v>
      </c>
      <c r="H11" s="20"/>
      <c r="I11" s="1">
        <f>IF(AND(F11&gt;0,F11&lt;G11),"km Gesamt ist kleiner als km/Fahrtag x Fahrtage","")</f>
      </c>
    </row>
    <row r="12" spans="1:9" ht="14.25">
      <c r="A12" s="8" t="s">
        <v>14</v>
      </c>
      <c r="B12" s="11"/>
      <c r="C12" s="21" t="s">
        <v>12</v>
      </c>
      <c r="D12" s="45" t="s">
        <v>15</v>
      </c>
      <c r="E12" s="45"/>
      <c r="F12" s="22">
        <v>0.325</v>
      </c>
      <c r="G12" s="19">
        <f>IF(B12&gt;0,IF((C$6*B12)&gt;(F12*G11),C$6*B12,F12*G11),F12*G11)</f>
        <v>7702.5</v>
      </c>
      <c r="H12" s="20"/>
      <c r="I12" s="1">
        <f>IF(AND(B12&gt;0,(B12*C$6)&lt;G12),"km Leer ist kleiner als Leeranteil x km-Linie","")</f>
      </c>
    </row>
    <row r="13" spans="1:8" ht="8.25" customHeight="1">
      <c r="A13" s="43"/>
      <c r="B13" s="43"/>
      <c r="C13" s="43"/>
      <c r="D13" s="43"/>
      <c r="E13" s="43"/>
      <c r="F13" s="43"/>
      <c r="G13" s="43"/>
      <c r="H13" s="23"/>
    </row>
    <row r="14" spans="1:9" ht="14.25">
      <c r="A14" s="49" t="s">
        <v>16</v>
      </c>
      <c r="B14" s="49"/>
      <c r="C14" s="49"/>
      <c r="D14" s="49"/>
      <c r="E14" s="49"/>
      <c r="F14" s="24"/>
      <c r="G14" s="25">
        <f>IF(F14&gt;(G11+G12),F14,G11+G12)</f>
        <v>31402.5</v>
      </c>
      <c r="H14" s="26"/>
      <c r="I14" s="1">
        <f>IF(AND(F14&gt;0,F14&lt;G14),"Gesamt-km lt. Ausschreibung ist kleiner als ermittelte Gesamt-km",IF(F14&gt;0,"Ausschreibungskm sind größer als ermittelte km",""))</f>
      </c>
    </row>
    <row r="15" spans="1:7" ht="2.25" customHeight="1">
      <c r="A15" s="48"/>
      <c r="B15" s="48"/>
      <c r="C15" s="48"/>
      <c r="D15" s="48"/>
      <c r="E15" s="48"/>
      <c r="F15" s="48"/>
      <c r="G15" s="48"/>
    </row>
    <row r="16" spans="1:8" ht="27.75" customHeight="1">
      <c r="A16" s="51" t="s">
        <v>17</v>
      </c>
      <c r="B16" s="51"/>
      <c r="C16" s="51"/>
      <c r="D16" s="51"/>
      <c r="E16" s="51"/>
      <c r="F16" s="51"/>
      <c r="G16" s="16" t="s">
        <v>10</v>
      </c>
      <c r="H16" s="5"/>
    </row>
    <row r="17" spans="1:9" ht="14.25">
      <c r="A17" s="8" t="s">
        <v>18</v>
      </c>
      <c r="B17" s="17">
        <v>7</v>
      </c>
      <c r="C17" s="1" t="s">
        <v>19</v>
      </c>
      <c r="D17" s="45" t="s">
        <v>20</v>
      </c>
      <c r="E17" s="45"/>
      <c r="F17" s="18"/>
      <c r="G17" s="19">
        <f>IF(B17&gt;0,IF(C$6*B17&gt;F17,C$6*B17,F17),F17)</f>
        <v>420</v>
      </c>
      <c r="H17" s="20"/>
      <c r="I17" s="1">
        <f>IF(AND(F17&gt;0,F17&lt;G17),"Std. Gesamt ist kleiner als Std/Fahrtag x Fahrtage","")</f>
      </c>
    </row>
    <row r="18" spans="1:9" ht="14.25">
      <c r="A18" s="8" t="s">
        <v>21</v>
      </c>
      <c r="B18" s="17">
        <v>2</v>
      </c>
      <c r="C18" s="1" t="s">
        <v>19</v>
      </c>
      <c r="D18" s="45" t="s">
        <v>22</v>
      </c>
      <c r="E18" s="45"/>
      <c r="F18" s="22"/>
      <c r="G18" s="19">
        <f>IF(B18&gt;0,IF((C$6*B18)&gt;(F18*G17),C$6*B18,F18*G17),F18*G17)</f>
        <v>120</v>
      </c>
      <c r="H18" s="20"/>
      <c r="I18" s="1">
        <f>IF(AND(B18&gt;0,(B18*C$6)&lt;G18),"Leerstunden ist kleiner als Leeranteil x Liniestunden","")</f>
      </c>
    </row>
    <row r="19" spans="1:9" ht="14.25">
      <c r="A19" s="8" t="s">
        <v>23</v>
      </c>
      <c r="B19" s="17">
        <v>1</v>
      </c>
      <c r="C19" s="1" t="s">
        <v>19</v>
      </c>
      <c r="D19" s="45" t="s">
        <v>22</v>
      </c>
      <c r="E19" s="45"/>
      <c r="F19" s="22"/>
      <c r="G19" s="19">
        <f>IF(B19&gt;0,IF((C$6*B19)&gt;(F19*(G18+G17)),C$6*B19,F19*(G18+G17)),F19*(G18+G17))</f>
        <v>60</v>
      </c>
      <c r="H19" s="20"/>
      <c r="I19" s="1">
        <f>IF(AND(B19&gt;0,(B19*C$6)&lt;G19),"Nebenzeiten/Fahrtag ist kleiner als Anteil x Liniestunden","")</f>
      </c>
    </row>
    <row r="20" spans="1:8" ht="2.25" customHeight="1">
      <c r="A20" s="42"/>
      <c r="B20" s="42"/>
      <c r="C20" s="42"/>
      <c r="D20" s="42"/>
      <c r="E20" s="42"/>
      <c r="F20" s="42"/>
      <c r="G20" s="42"/>
      <c r="H20" s="7"/>
    </row>
    <row r="21" spans="1:9" ht="14.25">
      <c r="A21" s="49" t="s">
        <v>24</v>
      </c>
      <c r="B21" s="49"/>
      <c r="C21" s="49"/>
      <c r="D21" s="49"/>
      <c r="E21" s="49"/>
      <c r="F21" s="13"/>
      <c r="G21" s="25">
        <f>IF(F21&gt;SUM(G17:G19),F21,SUM(G17:G19))</f>
        <v>600</v>
      </c>
      <c r="H21" s="26"/>
      <c r="I21" s="1">
        <f>IF(AND(F21&gt;0,F21&lt;G21),"Gesamt Stunden lt. Ausschreibung ist kleiner als ermittelte Gesamt Stunden","")</f>
      </c>
    </row>
    <row r="22" spans="1:7" ht="2.25" customHeight="1">
      <c r="A22" s="48"/>
      <c r="B22" s="48"/>
      <c r="C22" s="48"/>
      <c r="D22" s="48"/>
      <c r="E22" s="48"/>
      <c r="F22" s="48"/>
      <c r="G22" s="48"/>
    </row>
    <row r="23" spans="1:8" ht="27.75" customHeight="1">
      <c r="A23" s="51" t="s">
        <v>25</v>
      </c>
      <c r="B23" s="51"/>
      <c r="C23" s="51"/>
      <c r="D23" s="51"/>
      <c r="E23" s="51"/>
      <c r="F23" s="51"/>
      <c r="G23" s="16" t="s">
        <v>10</v>
      </c>
      <c r="H23" s="5"/>
    </row>
    <row r="24" spans="1:8" ht="14.25">
      <c r="A24" s="43" t="s">
        <v>26</v>
      </c>
      <c r="B24" s="43"/>
      <c r="C24" s="43"/>
      <c r="D24" s="43"/>
      <c r="E24" s="43"/>
      <c r="F24" s="18"/>
      <c r="H24" s="7"/>
    </row>
    <row r="25" spans="1:8" ht="14.25">
      <c r="A25" s="43" t="s">
        <v>27</v>
      </c>
      <c r="B25" s="43"/>
      <c r="C25" s="43"/>
      <c r="D25" s="43"/>
      <c r="E25" s="43"/>
      <c r="F25" s="18"/>
      <c r="G25" s="19">
        <f>F24-F25</f>
        <v>0</v>
      </c>
      <c r="H25" s="7"/>
    </row>
    <row r="26" spans="1:8" ht="14.25">
      <c r="A26" s="43" t="s">
        <v>28</v>
      </c>
      <c r="B26" s="43"/>
      <c r="C26" s="43"/>
      <c r="D26" s="43"/>
      <c r="E26" s="43"/>
      <c r="F26" s="18">
        <v>25000</v>
      </c>
      <c r="G26" s="19">
        <f>IF(F26&gt;0,F26*(G$5/12),0)</f>
        <v>6250</v>
      </c>
      <c r="H26" s="7"/>
    </row>
    <row r="27" spans="1:8" ht="2.25" customHeight="1">
      <c r="A27" s="42"/>
      <c r="B27" s="42"/>
      <c r="C27" s="42"/>
      <c r="D27" s="42"/>
      <c r="E27" s="42"/>
      <c r="F27" s="42"/>
      <c r="G27" s="42"/>
      <c r="H27" s="7"/>
    </row>
    <row r="28" spans="1:9" ht="14.25">
      <c r="A28" s="43" t="s">
        <v>29</v>
      </c>
      <c r="B28" s="43"/>
      <c r="C28" s="43"/>
      <c r="D28" s="43"/>
      <c r="E28" s="43"/>
      <c r="G28" s="19">
        <f>IF(G26&gt;G25,G26,G25)</f>
        <v>6250</v>
      </c>
      <c r="H28" s="7"/>
      <c r="I28" s="1">
        <f>IF(G28&lt;=0,"Sie berechnen keinen Wertverlust für das Fahrzeug.","")</f>
      </c>
    </row>
    <row r="29" spans="1:9" ht="14.25">
      <c r="A29" s="43" t="s">
        <v>30</v>
      </c>
      <c r="B29" s="43"/>
      <c r="C29" s="43"/>
      <c r="D29" s="43"/>
      <c r="E29" s="43"/>
      <c r="F29" s="18">
        <v>12000</v>
      </c>
      <c r="G29" s="19">
        <f>IF(F29&gt;0,F29*(G$5/12),0)</f>
        <v>3000</v>
      </c>
      <c r="H29" s="7"/>
      <c r="I29" s="1">
        <f>IF(G29&lt;=0,"Sie berechnen keine Finanzierungskosten.","")</f>
      </c>
    </row>
    <row r="30" spans="1:9" ht="14.25">
      <c r="A30" s="43" t="s">
        <v>31</v>
      </c>
      <c r="B30" s="43"/>
      <c r="C30" s="43"/>
      <c r="D30" s="43"/>
      <c r="E30" s="43"/>
      <c r="F30" s="18">
        <v>2000</v>
      </c>
      <c r="G30" s="19">
        <f>IF(F30&gt;0,F30*(G$5/12),0)</f>
        <v>500</v>
      </c>
      <c r="H30" s="7"/>
      <c r="I30" s="1">
        <f>IF(G30&lt;=0,"Sie berechnen keine Kosten für die Reifen.","")</f>
      </c>
    </row>
    <row r="31" spans="1:9" ht="14.25">
      <c r="A31" s="43" t="s">
        <v>32</v>
      </c>
      <c r="B31" s="43"/>
      <c r="C31" s="43"/>
      <c r="D31" s="43"/>
      <c r="E31" s="43"/>
      <c r="F31" s="18">
        <v>2500</v>
      </c>
      <c r="G31" s="19">
        <f>IF(F31&gt;0,F31*(G$5/12),0)</f>
        <v>625</v>
      </c>
      <c r="H31" s="7"/>
      <c r="I31" s="1">
        <f>IF(G31&lt;=0,"Sie berechnen keine Kosten für die Versicherung des Fahrzeugs.","")</f>
      </c>
    </row>
    <row r="32" spans="1:8" ht="2.25" customHeight="1">
      <c r="A32" s="42"/>
      <c r="B32" s="42"/>
      <c r="C32" s="42"/>
      <c r="D32" s="42"/>
      <c r="E32" s="42"/>
      <c r="F32" s="42"/>
      <c r="G32" s="42"/>
      <c r="H32" s="7"/>
    </row>
    <row r="33" spans="1:8" ht="14.25">
      <c r="A33" s="49" t="s">
        <v>33</v>
      </c>
      <c r="B33" s="49"/>
      <c r="C33" s="49"/>
      <c r="D33" s="49"/>
      <c r="E33" s="49"/>
      <c r="F33" s="14"/>
      <c r="G33" s="27">
        <f>SUM(G28:G31)</f>
        <v>10375</v>
      </c>
      <c r="H33" s="15"/>
    </row>
    <row r="34" spans="1:7" ht="2.25" customHeight="1">
      <c r="A34" s="48"/>
      <c r="B34" s="48"/>
      <c r="C34" s="48"/>
      <c r="D34" s="48"/>
      <c r="E34" s="48"/>
      <c r="F34" s="48"/>
      <c r="G34" s="48"/>
    </row>
    <row r="35" spans="1:8" ht="27.75" customHeight="1">
      <c r="A35" s="51" t="s">
        <v>34</v>
      </c>
      <c r="B35" s="51"/>
      <c r="C35" s="51"/>
      <c r="D35" s="51"/>
      <c r="E35" s="51"/>
      <c r="F35" s="51"/>
      <c r="G35" s="16" t="s">
        <v>10</v>
      </c>
      <c r="H35" s="5"/>
    </row>
    <row r="36" spans="1:9" ht="14.25">
      <c r="A36" s="43" t="s">
        <v>35</v>
      </c>
      <c r="B36" s="43"/>
      <c r="C36" s="17">
        <v>36</v>
      </c>
      <c r="D36" s="45" t="s">
        <v>36</v>
      </c>
      <c r="E36" s="45"/>
      <c r="F36" s="17">
        <v>0.95</v>
      </c>
      <c r="G36" s="28">
        <f>C$36*F36*G$14/100</f>
        <v>10739.654999999997</v>
      </c>
      <c r="H36" s="7"/>
      <c r="I36" s="1">
        <f>IF(G36&lt;=0,"Sie berechnen keine Dieselkosten.","")</f>
      </c>
    </row>
    <row r="37" spans="1:8" ht="14.25">
      <c r="A37" s="43" t="s">
        <v>37</v>
      </c>
      <c r="B37" s="43"/>
      <c r="C37" s="43"/>
      <c r="D37" s="43"/>
      <c r="E37" s="43"/>
      <c r="F37" s="17">
        <v>0.26</v>
      </c>
      <c r="G37" s="28">
        <f>F37*G$14</f>
        <v>8164.650000000001</v>
      </c>
      <c r="H37" s="7"/>
    </row>
    <row r="38" spans="1:8" ht="2.25" customHeight="1">
      <c r="A38" s="42"/>
      <c r="B38" s="42"/>
      <c r="C38" s="42"/>
      <c r="D38" s="42"/>
      <c r="E38" s="42"/>
      <c r="F38" s="42"/>
      <c r="G38" s="42"/>
      <c r="H38" s="7"/>
    </row>
    <row r="39" spans="1:8" ht="14.25">
      <c r="A39" s="49" t="s">
        <v>38</v>
      </c>
      <c r="B39" s="49"/>
      <c r="C39" s="49"/>
      <c r="D39" s="49"/>
      <c r="E39" s="49"/>
      <c r="F39" s="14"/>
      <c r="G39" s="29">
        <f>G36+G37</f>
        <v>18904.304999999997</v>
      </c>
      <c r="H39" s="15"/>
    </row>
    <row r="40" spans="1:7" ht="2.25" customHeight="1">
      <c r="A40" s="48"/>
      <c r="B40" s="48"/>
      <c r="C40" s="48"/>
      <c r="D40" s="48"/>
      <c r="E40" s="48"/>
      <c r="F40" s="48"/>
      <c r="G40" s="48"/>
    </row>
    <row r="41" spans="1:8" ht="27.75" customHeight="1">
      <c r="A41" s="51" t="s">
        <v>39</v>
      </c>
      <c r="B41" s="51"/>
      <c r="C41" s="51"/>
      <c r="D41" s="51"/>
      <c r="E41" s="51"/>
      <c r="F41" s="51"/>
      <c r="G41" s="16" t="s">
        <v>10</v>
      </c>
      <c r="H41" s="5"/>
    </row>
    <row r="42" spans="1:8" ht="14.25">
      <c r="A42" s="49" t="s">
        <v>40</v>
      </c>
      <c r="B42" s="49"/>
      <c r="C42" s="49"/>
      <c r="D42" s="49"/>
      <c r="E42" s="49"/>
      <c r="F42" s="30">
        <v>26.5</v>
      </c>
      <c r="G42" s="29">
        <f>F42*G21</f>
        <v>15900</v>
      </c>
      <c r="H42" s="15"/>
    </row>
    <row r="43" spans="1:7" ht="2.25" customHeight="1">
      <c r="A43" s="48"/>
      <c r="B43" s="48"/>
      <c r="C43" s="48"/>
      <c r="D43" s="48"/>
      <c r="E43" s="48"/>
      <c r="F43" s="48"/>
      <c r="G43" s="48"/>
    </row>
    <row r="44" spans="1:8" ht="27.75" customHeight="1">
      <c r="A44" s="51" t="s">
        <v>41</v>
      </c>
      <c r="B44" s="51"/>
      <c r="C44" s="51"/>
      <c r="D44" s="51"/>
      <c r="E44" s="51"/>
      <c r="F44" s="51"/>
      <c r="G44" s="16" t="s">
        <v>10</v>
      </c>
      <c r="H44" s="5"/>
    </row>
    <row r="45" spans="1:8" ht="14.25">
      <c r="A45" s="50" t="s">
        <v>42</v>
      </c>
      <c r="B45" s="50"/>
      <c r="C45" s="50"/>
      <c r="D45" s="50"/>
      <c r="E45" s="10" t="s">
        <v>43</v>
      </c>
      <c r="F45" s="17">
        <v>2000</v>
      </c>
      <c r="G45" s="28">
        <f>F45*G$5/12</f>
        <v>500</v>
      </c>
      <c r="H45" s="7"/>
    </row>
    <row r="46" spans="1:8" ht="14.25">
      <c r="A46" s="50" t="s">
        <v>42</v>
      </c>
      <c r="B46" s="50"/>
      <c r="C46" s="50"/>
      <c r="D46" s="50"/>
      <c r="E46" s="10" t="s">
        <v>43</v>
      </c>
      <c r="F46" s="17"/>
      <c r="G46" s="28">
        <f>F46*G$5/12</f>
        <v>0</v>
      </c>
      <c r="H46" s="7"/>
    </row>
    <row r="47" spans="1:8" ht="14.25">
      <c r="A47" s="50" t="s">
        <v>42</v>
      </c>
      <c r="B47" s="50"/>
      <c r="C47" s="50"/>
      <c r="D47" s="50"/>
      <c r="E47" s="10" t="s">
        <v>43</v>
      </c>
      <c r="F47" s="17"/>
      <c r="G47" s="28">
        <f>F47*G$5/12</f>
        <v>0</v>
      </c>
      <c r="H47" s="7"/>
    </row>
    <row r="48" spans="1:8" ht="14.25">
      <c r="A48" s="50" t="s">
        <v>42</v>
      </c>
      <c r="B48" s="50"/>
      <c r="C48" s="50"/>
      <c r="D48" s="50"/>
      <c r="E48" s="10" t="s">
        <v>43</v>
      </c>
      <c r="F48" s="17"/>
      <c r="G48" s="28">
        <f>F48*G$5/12</f>
        <v>0</v>
      </c>
      <c r="H48" s="7"/>
    </row>
    <row r="49" spans="1:8" ht="8.25" customHeight="1">
      <c r="A49" s="6"/>
      <c r="H49" s="7"/>
    </row>
    <row r="50" spans="1:8" ht="14.25">
      <c r="A50" s="49" t="s">
        <v>44</v>
      </c>
      <c r="B50" s="49"/>
      <c r="C50" s="49"/>
      <c r="D50" s="49"/>
      <c r="E50" s="49"/>
      <c r="F50" s="14"/>
      <c r="G50" s="29">
        <f>SUM(G45:G48)</f>
        <v>500</v>
      </c>
      <c r="H50" s="15"/>
    </row>
    <row r="51" spans="1:7" ht="2.25" customHeight="1">
      <c r="A51" s="48"/>
      <c r="B51" s="48"/>
      <c r="C51" s="48"/>
      <c r="D51" s="48"/>
      <c r="E51" s="48"/>
      <c r="F51" s="48"/>
      <c r="G51" s="48"/>
    </row>
    <row r="52" spans="1:8" ht="27.75" customHeight="1">
      <c r="A52" s="47" t="s">
        <v>45</v>
      </c>
      <c r="B52" s="47"/>
      <c r="C52" s="47"/>
      <c r="D52" s="47"/>
      <c r="E52" s="47"/>
      <c r="F52" s="47"/>
      <c r="G52" s="47"/>
      <c r="H52" s="5"/>
    </row>
    <row r="53" spans="1:8" ht="2.25" customHeight="1">
      <c r="A53" s="42"/>
      <c r="B53" s="42"/>
      <c r="C53" s="42"/>
      <c r="D53" s="42"/>
      <c r="E53" s="42"/>
      <c r="F53" s="42"/>
      <c r="G53" s="42"/>
      <c r="H53" s="7"/>
    </row>
    <row r="54" spans="1:8" ht="14.25">
      <c r="A54" s="43" t="s">
        <v>46</v>
      </c>
      <c r="B54" s="43"/>
      <c r="C54" s="43"/>
      <c r="D54" s="43"/>
      <c r="E54" s="43"/>
      <c r="G54" s="28">
        <f>G$50+G$42+G$39+G$33</f>
        <v>45679.30499999999</v>
      </c>
      <c r="H54" s="7"/>
    </row>
    <row r="55" spans="1:8" ht="14.25">
      <c r="A55" s="43" t="s">
        <v>47</v>
      </c>
      <c r="B55" s="43"/>
      <c r="C55" s="43"/>
      <c r="D55" s="43"/>
      <c r="E55" s="43"/>
      <c r="F55" s="22">
        <v>0.05</v>
      </c>
      <c r="G55" s="28">
        <f>F55*G54</f>
        <v>2283.9652499999997</v>
      </c>
      <c r="H55" s="7"/>
    </row>
    <row r="56" spans="1:8" ht="2.25" customHeight="1">
      <c r="A56" s="42"/>
      <c r="B56" s="42"/>
      <c r="C56" s="42"/>
      <c r="D56" s="42"/>
      <c r="E56" s="42"/>
      <c r="F56" s="42"/>
      <c r="G56" s="42"/>
      <c r="H56" s="7"/>
    </row>
    <row r="57" spans="1:8" ht="15">
      <c r="A57" s="43" t="s">
        <v>48</v>
      </c>
      <c r="B57" s="43"/>
      <c r="C57" s="43"/>
      <c r="D57" s="43"/>
      <c r="E57" s="43"/>
      <c r="G57" s="31">
        <f>G55+G54</f>
        <v>47963.270249999994</v>
      </c>
      <c r="H57" s="7"/>
    </row>
    <row r="58" spans="1:8" ht="2.25" customHeight="1">
      <c r="A58" s="42"/>
      <c r="B58" s="42"/>
      <c r="C58" s="42"/>
      <c r="D58" s="42"/>
      <c r="E58" s="42"/>
      <c r="F58" s="42"/>
      <c r="G58" s="42"/>
      <c r="H58" s="7"/>
    </row>
    <row r="59" spans="1:8" ht="15">
      <c r="A59" s="43" t="s">
        <v>49</v>
      </c>
      <c r="B59" s="43"/>
      <c r="C59" s="43"/>
      <c r="D59" s="43"/>
      <c r="E59" s="43"/>
      <c r="F59" s="32">
        <f>G$57/G$14</f>
        <v>1.5273710771435394</v>
      </c>
      <c r="H59" s="7"/>
    </row>
    <row r="60" spans="1:8" ht="15">
      <c r="A60" s="43" t="s">
        <v>50</v>
      </c>
      <c r="B60" s="43"/>
      <c r="C60" s="43"/>
      <c r="D60" s="43"/>
      <c r="E60" s="43"/>
      <c r="F60" s="32">
        <f>G57/G$11</f>
        <v>2.0237666772151894</v>
      </c>
      <c r="H60" s="7"/>
    </row>
    <row r="61" spans="1:8" s="2" customFormat="1" ht="2.25" customHeight="1">
      <c r="A61" s="39"/>
      <c r="B61" s="39"/>
      <c r="C61" s="39"/>
      <c r="D61" s="39"/>
      <c r="E61" s="39"/>
      <c r="F61" s="39"/>
      <c r="G61" s="39"/>
      <c r="H61" s="7"/>
    </row>
    <row r="62" spans="1:8" s="2" customFormat="1" ht="14.25">
      <c r="A62" s="39" t="s">
        <v>51</v>
      </c>
      <c r="B62" s="39"/>
      <c r="C62" s="39"/>
      <c r="D62" s="39"/>
      <c r="E62" s="39"/>
      <c r="F62" s="39"/>
      <c r="H62" s="7"/>
    </row>
    <row r="63" spans="1:8" s="2" customFormat="1" ht="14.25">
      <c r="A63" s="39" t="str">
        <f>A$23&amp;":"</f>
        <v>Fixkosten Fahrzeug:</v>
      </c>
      <c r="B63" s="39"/>
      <c r="C63" s="39"/>
      <c r="D63" s="39"/>
      <c r="E63" s="39"/>
      <c r="F63" s="33">
        <f>G$33/G54</f>
        <v>0.22712692323142836</v>
      </c>
      <c r="H63" s="7"/>
    </row>
    <row r="64" spans="1:8" s="2" customFormat="1" ht="14.25">
      <c r="A64" s="39" t="str">
        <f>A$35&amp;":"</f>
        <v>Variable Kosten Fahrzeug:</v>
      </c>
      <c r="B64" s="39"/>
      <c r="C64" s="39"/>
      <c r="D64" s="39"/>
      <c r="E64" s="39"/>
      <c r="F64" s="33">
        <f>G$39/G54</f>
        <v>0.4138483499256392</v>
      </c>
      <c r="H64" s="7"/>
    </row>
    <row r="65" spans="1:8" s="2" customFormat="1" ht="14.25">
      <c r="A65" s="39" t="str">
        <f>A$41&amp;":"</f>
        <v>Kosten Fahrer:</v>
      </c>
      <c r="B65" s="39"/>
      <c r="C65" s="39"/>
      <c r="D65" s="39"/>
      <c r="E65" s="39"/>
      <c r="F65" s="33">
        <f>G$42/G54</f>
        <v>0.34807885102455044</v>
      </c>
      <c r="H65" s="7"/>
    </row>
    <row r="66" spans="1:8" s="2" customFormat="1" ht="14.25">
      <c r="A66" s="40" t="str">
        <f>A$44&amp;":"</f>
        <v>sonstige Kosten:</v>
      </c>
      <c r="B66" s="40"/>
      <c r="C66" s="40"/>
      <c r="D66" s="40"/>
      <c r="E66" s="40"/>
      <c r="F66" s="34">
        <f>G$50/G54</f>
        <v>0.01094587581838209</v>
      </c>
      <c r="G66" s="35"/>
      <c r="H66" s="15"/>
    </row>
    <row r="67" spans="1:7" ht="2.25" customHeight="1">
      <c r="A67" s="48"/>
      <c r="B67" s="48"/>
      <c r="C67" s="48"/>
      <c r="D67" s="48"/>
      <c r="E67" s="48"/>
      <c r="F67" s="48"/>
      <c r="G67" s="48"/>
    </row>
    <row r="68" spans="1:8" ht="27.75" customHeight="1">
      <c r="A68" s="47" t="s">
        <v>52</v>
      </c>
      <c r="B68" s="47"/>
      <c r="C68" s="47"/>
      <c r="D68" s="47"/>
      <c r="E68" s="47"/>
      <c r="F68" s="47"/>
      <c r="G68" s="47"/>
      <c r="H68" s="5"/>
    </row>
    <row r="69" spans="1:8" ht="2.25" customHeight="1">
      <c r="A69" s="42"/>
      <c r="B69" s="42"/>
      <c r="C69" s="42"/>
      <c r="D69" s="42"/>
      <c r="E69" s="42"/>
      <c r="F69" s="42"/>
      <c r="G69" s="42"/>
      <c r="H69" s="7"/>
    </row>
    <row r="70" spans="1:9" ht="14.25">
      <c r="A70" s="8" t="s">
        <v>53</v>
      </c>
      <c r="B70" s="36">
        <f>F36</f>
        <v>0.95</v>
      </c>
      <c r="C70" s="45" t="s">
        <v>54</v>
      </c>
      <c r="D70" s="45"/>
      <c r="E70" s="45"/>
      <c r="F70" s="17">
        <f>B70*1.2</f>
        <v>1.14</v>
      </c>
      <c r="G70" s="28">
        <f>C$36*F70*G$14/100</f>
        <v>12887.586</v>
      </c>
      <c r="H70" s="7"/>
      <c r="I70" s="1" t="str">
        <f>"Dieselpreissteigerung beträgt: "&amp;TEXT(F70/B70-1,"0.00%")</f>
        <v>Dieselpreissteigerung beträgt: 020%</v>
      </c>
    </row>
    <row r="71" spans="1:9" ht="14.25">
      <c r="A71" s="43" t="s">
        <v>46</v>
      </c>
      <c r="B71" s="43"/>
      <c r="C71" s="43"/>
      <c r="D71" s="43"/>
      <c r="E71" s="43"/>
      <c r="G71" s="28">
        <f>G54-G36+G70</f>
        <v>47827.23599999999</v>
      </c>
      <c r="H71" s="7"/>
      <c r="I71" s="1" t="str">
        <f>"Wenn Sie keine Preisanpassung erreichen "&amp;IF(G71&gt;G$57,"erwirtschaften Sie einen Verlust von "&amp;TEXT(G71-G$57,"#,##0"),"sinkt Ihr Gewinn auf "&amp;TEXT(G$57-G71,"#,##0"))&amp;" Euro."</f>
        <v>Wenn Sie keine Preisanpassung erreichen sinkt Ihr Gewinn auf 136,034 Euro.</v>
      </c>
    </row>
    <row r="72" spans="1:8" ht="14.25">
      <c r="A72" s="43" t="s">
        <v>55</v>
      </c>
      <c r="B72" s="43"/>
      <c r="C72" s="43"/>
      <c r="D72" s="43"/>
      <c r="E72" s="43"/>
      <c r="F72" s="37">
        <f>G72/G71</f>
        <v>0.04775448972213239</v>
      </c>
      <c r="G72" s="28">
        <f>G55</f>
        <v>2283.9652499999997</v>
      </c>
      <c r="H72" s="7"/>
    </row>
    <row r="73" spans="1:8" ht="14.25">
      <c r="A73" s="6"/>
      <c r="H73" s="7"/>
    </row>
    <row r="74" spans="1:8" ht="15">
      <c r="A74" s="43" t="s">
        <v>48</v>
      </c>
      <c r="B74" s="43"/>
      <c r="C74" s="43"/>
      <c r="D74" s="43"/>
      <c r="E74" s="43"/>
      <c r="G74" s="31">
        <f>G72+G71</f>
        <v>50111.20124999999</v>
      </c>
      <c r="H74" s="7"/>
    </row>
    <row r="75" spans="1:8" ht="14.25">
      <c r="A75" s="6"/>
      <c r="G75" s="38" t="s">
        <v>56</v>
      </c>
      <c r="H75" s="7"/>
    </row>
    <row r="76" spans="1:8" ht="15">
      <c r="A76" s="43" t="s">
        <v>49</v>
      </c>
      <c r="B76" s="43"/>
      <c r="C76" s="43"/>
      <c r="D76" s="43"/>
      <c r="E76" s="43"/>
      <c r="F76" s="32">
        <f>G$74/G$14</f>
        <v>1.5957710771435392</v>
      </c>
      <c r="G76" s="44">
        <f>F76/F59-1</f>
        <v>0.04478283046181564</v>
      </c>
      <c r="H76" s="7"/>
    </row>
    <row r="77" spans="1:8" ht="15">
      <c r="A77" s="43" t="s">
        <v>50</v>
      </c>
      <c r="B77" s="43"/>
      <c r="C77" s="43"/>
      <c r="D77" s="43"/>
      <c r="E77" s="43"/>
      <c r="F77" s="32">
        <f>G74/G$11</f>
        <v>2.1143966772151894</v>
      </c>
      <c r="G77" s="44"/>
      <c r="H77" s="7"/>
    </row>
    <row r="78" spans="1:8" ht="2.25" customHeight="1">
      <c r="A78" s="43"/>
      <c r="B78" s="43"/>
      <c r="C78" s="43"/>
      <c r="D78" s="43"/>
      <c r="E78" s="43"/>
      <c r="F78" s="43"/>
      <c r="G78" s="43"/>
      <c r="H78" s="7"/>
    </row>
    <row r="79" spans="1:8" s="2" customFormat="1" ht="14.25">
      <c r="A79" s="39" t="s">
        <v>51</v>
      </c>
      <c r="B79" s="39"/>
      <c r="C79" s="39"/>
      <c r="D79" s="39"/>
      <c r="E79" s="39"/>
      <c r="F79" s="39"/>
      <c r="G79" s="2" t="s">
        <v>57</v>
      </c>
      <c r="H79" s="7"/>
    </row>
    <row r="80" spans="1:8" s="2" customFormat="1" ht="14.25">
      <c r="A80" s="39" t="str">
        <f>A$23&amp;":"</f>
        <v>Fixkosten Fahrzeug:</v>
      </c>
      <c r="B80" s="39"/>
      <c r="C80" s="39"/>
      <c r="D80" s="39"/>
      <c r="E80" s="39"/>
      <c r="F80" s="33">
        <f>G$33/G71</f>
        <v>0.21692660642149594</v>
      </c>
      <c r="G80" s="33">
        <f>F80-F63</f>
        <v>-0.010200316809932414</v>
      </c>
      <c r="H80" s="7"/>
    </row>
    <row r="81" spans="1:8" s="2" customFormat="1" ht="14.25">
      <c r="A81" s="39" t="str">
        <f>A$35&amp;":"</f>
        <v>Variable Kosten Fahrzeug:</v>
      </c>
      <c r="B81" s="39"/>
      <c r="C81" s="39"/>
      <c r="D81" s="39"/>
      <c r="E81" s="39"/>
      <c r="F81" s="33">
        <f>(G$39-G36+G70)/G71</f>
        <v>0.44017254101826003</v>
      </c>
      <c r="G81" s="33">
        <f>F81-F64</f>
        <v>0.026324191092620852</v>
      </c>
      <c r="H81" s="7"/>
    </row>
    <row r="82" spans="1:8" s="2" customFormat="1" ht="14.25">
      <c r="A82" s="39" t="str">
        <f>A$41&amp;":"</f>
        <v>Kosten Fahrer:</v>
      </c>
      <c r="B82" s="39"/>
      <c r="C82" s="39"/>
      <c r="D82" s="39"/>
      <c r="E82" s="39"/>
      <c r="F82" s="33">
        <f>G$42/G71</f>
        <v>0.3324465582748709</v>
      </c>
      <c r="G82" s="33">
        <f>F82-F65</f>
        <v>-0.015632292749679533</v>
      </c>
      <c r="H82" s="7"/>
    </row>
    <row r="83" spans="1:8" s="2" customFormat="1" ht="14.25">
      <c r="A83" s="40" t="str">
        <f>A$44&amp;":"</f>
        <v>sonstige Kosten:</v>
      </c>
      <c r="B83" s="40"/>
      <c r="C83" s="40"/>
      <c r="D83" s="40"/>
      <c r="E83" s="40"/>
      <c r="F83" s="34">
        <f>G$50/G71</f>
        <v>0.010454294285373299</v>
      </c>
      <c r="G83" s="33">
        <f>F83-F66</f>
        <v>-0.0004915815330087912</v>
      </c>
      <c r="H83" s="15"/>
    </row>
    <row r="84" spans="1:8" ht="2.25" customHeight="1">
      <c r="A84" s="46"/>
      <c r="B84" s="46"/>
      <c r="C84" s="46"/>
      <c r="D84" s="46"/>
      <c r="E84" s="46"/>
      <c r="F84" s="46"/>
      <c r="G84" s="46"/>
      <c r="H84" s="15"/>
    </row>
    <row r="85" spans="1:8" ht="27.75" customHeight="1">
      <c r="A85" s="47" t="s">
        <v>58</v>
      </c>
      <c r="B85" s="47"/>
      <c r="C85" s="47"/>
      <c r="D85" s="47"/>
      <c r="E85" s="47"/>
      <c r="F85" s="47"/>
      <c r="G85" s="47"/>
      <c r="H85" s="5"/>
    </row>
    <row r="86" spans="1:8" ht="2.25" customHeight="1">
      <c r="A86" s="42"/>
      <c r="B86" s="42"/>
      <c r="C86" s="42"/>
      <c r="D86" s="42"/>
      <c r="E86" s="42"/>
      <c r="F86" s="42"/>
      <c r="G86" s="42"/>
      <c r="H86" s="7"/>
    </row>
    <row r="87" spans="1:9" ht="14.25">
      <c r="A87" s="8" t="s">
        <v>59</v>
      </c>
      <c r="B87" s="36">
        <f>F42</f>
        <v>26.5</v>
      </c>
      <c r="C87" s="45" t="s">
        <v>60</v>
      </c>
      <c r="D87" s="45"/>
      <c r="E87" s="45"/>
      <c r="F87" s="17">
        <f>B87*1.2</f>
        <v>31.799999999999997</v>
      </c>
      <c r="G87" s="28">
        <f>F87*G21</f>
        <v>19080</v>
      </c>
      <c r="H87" s="7"/>
      <c r="I87" s="1" t="str">
        <f>"Steigerung der Personalkosten beträgt: "&amp;TEXT(F87/B87-1,"0.00%")</f>
        <v>Steigerung der Personalkosten beträgt: 020%</v>
      </c>
    </row>
    <row r="88" spans="1:9" ht="14.25">
      <c r="A88" s="43" t="s">
        <v>46</v>
      </c>
      <c r="B88" s="43"/>
      <c r="C88" s="43"/>
      <c r="D88" s="43"/>
      <c r="E88" s="43"/>
      <c r="G88" s="28">
        <f>G54-G42+G87</f>
        <v>48859.30499999999</v>
      </c>
      <c r="H88" s="7"/>
      <c r="I88" s="1" t="str">
        <f>"Wenn Sie keine Preisanpassung erreichen "&amp;IF(G88&gt;G$57,"erwirtschaften Sie einen Verlust von "&amp;TEXT(G88-G$57,"#,##0"),"sinkt Ihr Gewinn auf "&amp;TEXT(G$57-G88,"#,##0"))&amp;" Euro."</f>
        <v>Wenn Sie keine Preisanpassung erreichen erwirtschaften Sie einen Verlust von 896,035 Euro.</v>
      </c>
    </row>
    <row r="89" spans="1:8" ht="14.25">
      <c r="A89" s="43" t="s">
        <v>55</v>
      </c>
      <c r="B89" s="43"/>
      <c r="C89" s="43"/>
      <c r="D89" s="43"/>
      <c r="E89" s="43"/>
      <c r="F89" s="37">
        <f>G89/G88</f>
        <v>0.046745758049567016</v>
      </c>
      <c r="G89" s="28">
        <f>G55</f>
        <v>2283.9652499999997</v>
      </c>
      <c r="H89" s="7"/>
    </row>
    <row r="90" spans="1:8" ht="14.25">
      <c r="A90" s="43"/>
      <c r="B90" s="43"/>
      <c r="C90" s="43"/>
      <c r="D90" s="43"/>
      <c r="E90" s="43"/>
      <c r="G90" s="36"/>
      <c r="H90" s="7"/>
    </row>
    <row r="91" spans="1:8" ht="15">
      <c r="A91" s="43" t="s">
        <v>48</v>
      </c>
      <c r="B91" s="43"/>
      <c r="C91" s="43"/>
      <c r="D91" s="43"/>
      <c r="E91" s="43"/>
      <c r="G91" s="31">
        <f>G89+G88</f>
        <v>51143.270249999994</v>
      </c>
      <c r="H91" s="7"/>
    </row>
    <row r="92" spans="1:8" ht="14.25">
      <c r="A92" s="6"/>
      <c r="G92" s="38" t="s">
        <v>56</v>
      </c>
      <c r="H92" s="7"/>
    </row>
    <row r="93" spans="1:8" ht="15">
      <c r="A93" s="43" t="s">
        <v>49</v>
      </c>
      <c r="B93" s="43"/>
      <c r="C93" s="43"/>
      <c r="D93" s="43"/>
      <c r="E93" s="43"/>
      <c r="F93" s="32">
        <f>G$91/G$14</f>
        <v>1.6286368999283494</v>
      </c>
      <c r="G93" s="44">
        <f>F93/F59-1</f>
        <v>0.06630073352848576</v>
      </c>
      <c r="H93" s="7"/>
    </row>
    <row r="94" spans="1:8" ht="15">
      <c r="A94" s="43" t="s">
        <v>50</v>
      </c>
      <c r="B94" s="43"/>
      <c r="C94" s="43"/>
      <c r="D94" s="43"/>
      <c r="E94" s="43"/>
      <c r="F94" s="32">
        <f>G91/G$11</f>
        <v>2.157943892405063</v>
      </c>
      <c r="G94" s="44"/>
      <c r="H94" s="7"/>
    </row>
    <row r="95" spans="1:8" ht="2.25" customHeight="1">
      <c r="A95" s="42"/>
      <c r="B95" s="42"/>
      <c r="C95" s="42"/>
      <c r="D95" s="42"/>
      <c r="E95" s="42"/>
      <c r="F95" s="42"/>
      <c r="G95" s="42"/>
      <c r="H95" s="7"/>
    </row>
    <row r="96" spans="1:8" ht="14.25">
      <c r="A96" s="39" t="s">
        <v>51</v>
      </c>
      <c r="B96" s="39"/>
      <c r="C96" s="39"/>
      <c r="D96" s="39"/>
      <c r="E96" s="39"/>
      <c r="F96" s="39"/>
      <c r="G96" s="2" t="s">
        <v>57</v>
      </c>
      <c r="H96" s="7"/>
    </row>
    <row r="97" spans="1:8" ht="14.25">
      <c r="A97" s="39" t="str">
        <f>A$23&amp;":"</f>
        <v>Fixkosten Fahrzeug:</v>
      </c>
      <c r="B97" s="39"/>
      <c r="C97" s="39"/>
      <c r="D97" s="39"/>
      <c r="E97" s="39"/>
      <c r="F97" s="33">
        <f>G$33/G88</f>
        <v>0.21234440399837864</v>
      </c>
      <c r="G97" s="33">
        <f>F97-F63</f>
        <v>-0.014782519233049712</v>
      </c>
      <c r="H97" s="7"/>
    </row>
    <row r="98" spans="1:8" ht="14.25">
      <c r="A98" s="39" t="str">
        <f>A$35&amp;":"</f>
        <v>Variable Kosten Fahrzeug:</v>
      </c>
      <c r="B98" s="39"/>
      <c r="C98" s="39"/>
      <c r="D98" s="39"/>
      <c r="E98" s="39"/>
      <c r="F98" s="33">
        <f>G$39/G88</f>
        <v>0.3869130966967295</v>
      </c>
      <c r="G98" s="33">
        <f>F98-F64</f>
        <v>-0.02693525322890966</v>
      </c>
      <c r="H98" s="7"/>
    </row>
    <row r="99" spans="1:8" ht="14.25">
      <c r="A99" s="39" t="str">
        <f>A$41&amp;":"</f>
        <v>Kosten Fahrer:</v>
      </c>
      <c r="B99" s="39"/>
      <c r="C99" s="39"/>
      <c r="D99" s="39"/>
      <c r="E99" s="39"/>
      <c r="F99" s="33">
        <f>G$87/G88</f>
        <v>0.390509034051958</v>
      </c>
      <c r="G99" s="33">
        <f>F99-F65</f>
        <v>0.042430183027407586</v>
      </c>
      <c r="H99" s="7"/>
    </row>
    <row r="100" spans="1:8" ht="14.25">
      <c r="A100" s="40" t="str">
        <f>A$44&amp;":"</f>
        <v>sonstige Kosten:</v>
      </c>
      <c r="B100" s="40"/>
      <c r="C100" s="40"/>
      <c r="D100" s="40"/>
      <c r="E100" s="40"/>
      <c r="F100" s="34">
        <f>G$50/G88</f>
        <v>0.01023346525293391</v>
      </c>
      <c r="G100" s="34">
        <f>F100-F83</f>
        <v>-0.0002208290324393885</v>
      </c>
      <c r="H100" s="15"/>
    </row>
  </sheetData>
  <sheetProtection password="BAAE" sheet="1" objects="1" scenarios="1"/>
  <mergeCells count="100">
    <mergeCell ref="A1:G1"/>
    <mergeCell ref="A2:G2"/>
    <mergeCell ref="A4:G4"/>
    <mergeCell ref="A5:B5"/>
    <mergeCell ref="A6:B6"/>
    <mergeCell ref="D6:F6"/>
    <mergeCell ref="B8:C8"/>
    <mergeCell ref="D8:E8"/>
    <mergeCell ref="A9:G9"/>
    <mergeCell ref="A10:F10"/>
    <mergeCell ref="D11:E11"/>
    <mergeCell ref="D12:E12"/>
    <mergeCell ref="A13:G13"/>
    <mergeCell ref="A14:E14"/>
    <mergeCell ref="A15:G15"/>
    <mergeCell ref="A16:F16"/>
    <mergeCell ref="D17:E17"/>
    <mergeCell ref="D18:E18"/>
    <mergeCell ref="D19:E19"/>
    <mergeCell ref="A20:G20"/>
    <mergeCell ref="A21:E21"/>
    <mergeCell ref="A22:G22"/>
    <mergeCell ref="A23:F23"/>
    <mergeCell ref="A24:E24"/>
    <mergeCell ref="A25:E25"/>
    <mergeCell ref="A26:E26"/>
    <mergeCell ref="A27:G27"/>
    <mergeCell ref="A28:E28"/>
    <mergeCell ref="A29:E29"/>
    <mergeCell ref="A30:E30"/>
    <mergeCell ref="A31:E31"/>
    <mergeCell ref="A32:G32"/>
    <mergeCell ref="A33:E33"/>
    <mergeCell ref="A34:G34"/>
    <mergeCell ref="A35:F35"/>
    <mergeCell ref="A36:B36"/>
    <mergeCell ref="D36:E36"/>
    <mergeCell ref="A37:E37"/>
    <mergeCell ref="A38:G38"/>
    <mergeCell ref="A39:E39"/>
    <mergeCell ref="A40:G40"/>
    <mergeCell ref="A41:F41"/>
    <mergeCell ref="A42:E42"/>
    <mergeCell ref="A43:G43"/>
    <mergeCell ref="A44:F44"/>
    <mergeCell ref="A45:D45"/>
    <mergeCell ref="A46:D46"/>
    <mergeCell ref="A47:D47"/>
    <mergeCell ref="A48:D48"/>
    <mergeCell ref="A50:E50"/>
    <mergeCell ref="A51:G51"/>
    <mergeCell ref="A52:G52"/>
    <mergeCell ref="A53:G53"/>
    <mergeCell ref="A54:E54"/>
    <mergeCell ref="A55:E55"/>
    <mergeCell ref="A56:G56"/>
    <mergeCell ref="A57:E57"/>
    <mergeCell ref="A58:G58"/>
    <mergeCell ref="A59:E59"/>
    <mergeCell ref="A60:E60"/>
    <mergeCell ref="A61:G61"/>
    <mergeCell ref="A62:F62"/>
    <mergeCell ref="A63:E63"/>
    <mergeCell ref="A64:E64"/>
    <mergeCell ref="A65:E65"/>
    <mergeCell ref="A66:E66"/>
    <mergeCell ref="A67:G67"/>
    <mergeCell ref="A68:G68"/>
    <mergeCell ref="A69:G69"/>
    <mergeCell ref="C70:E70"/>
    <mergeCell ref="A71:E71"/>
    <mergeCell ref="A72:E72"/>
    <mergeCell ref="A74:E74"/>
    <mergeCell ref="A76:E76"/>
    <mergeCell ref="G76:G77"/>
    <mergeCell ref="A77:E77"/>
    <mergeCell ref="A78:G78"/>
    <mergeCell ref="A79:F79"/>
    <mergeCell ref="A80:E80"/>
    <mergeCell ref="A81:E81"/>
    <mergeCell ref="A82:E82"/>
    <mergeCell ref="A83:E83"/>
    <mergeCell ref="A84:G84"/>
    <mergeCell ref="A85:G85"/>
    <mergeCell ref="A86:G86"/>
    <mergeCell ref="A94:E94"/>
    <mergeCell ref="C87:E87"/>
    <mergeCell ref="A88:E88"/>
    <mergeCell ref="A89:E89"/>
    <mergeCell ref="A90:E90"/>
    <mergeCell ref="A99:E99"/>
    <mergeCell ref="A100:E100"/>
    <mergeCell ref="B3:G3"/>
    <mergeCell ref="A95:G95"/>
    <mergeCell ref="A96:F96"/>
    <mergeCell ref="A97:E97"/>
    <mergeCell ref="A98:E98"/>
    <mergeCell ref="A91:E91"/>
    <mergeCell ref="A93:E93"/>
    <mergeCell ref="G93:G94"/>
  </mergeCells>
  <conditionalFormatting sqref="B12">
    <cfRule type="expression" priority="1" dxfId="0" stopIfTrue="1">
      <formula>AND(B12&gt;0,B12*C5&lt;G12)</formula>
    </cfRule>
  </conditionalFormatting>
  <conditionalFormatting sqref="B18">
    <cfRule type="expression" priority="2" dxfId="0" stopIfTrue="1">
      <formula>AND(B18&gt;0,B18*C$6&lt;G18)</formula>
    </cfRule>
  </conditionalFormatting>
  <conditionalFormatting sqref="B19">
    <cfRule type="expression" priority="3" dxfId="0" stopIfTrue="1">
      <formula>AND(B19&gt;0,B19*C$6&lt;G19)</formula>
    </cfRule>
  </conditionalFormatting>
  <conditionalFormatting sqref="C6">
    <cfRule type="cellIs" priority="4" dxfId="0" operator="greaterThan" stopIfTrue="1">
      <formula>G6</formula>
    </cfRule>
  </conditionalFormatting>
  <conditionalFormatting sqref="F11 F17">
    <cfRule type="expression" priority="5" dxfId="0" stopIfTrue="1">
      <formula>AND(F11&gt;0,F11&lt;G11)</formula>
    </cfRule>
  </conditionalFormatting>
  <conditionalFormatting sqref="F14">
    <cfRule type="expression" priority="6" dxfId="0" stopIfTrue="1">
      <formula>AND(F14&gt;0,F14&lt;G14)</formula>
    </cfRule>
  </conditionalFormatting>
  <conditionalFormatting sqref="F21">
    <cfRule type="expression" priority="7" dxfId="0" stopIfTrue="1">
      <formula>AND(F21&gt;0,F21&lt;G21)</formula>
    </cfRule>
  </conditionalFormatting>
  <conditionalFormatting sqref="G28:G31 G36:G37 G70 G87">
    <cfRule type="cellIs" priority="8" dxfId="0" operator="lessThanOrEqual" stopIfTrue="1">
      <formula>0</formula>
    </cfRule>
  </conditionalFormatting>
  <dataValidations count="26">
    <dataValidation type="date" operator="equal" allowBlank="1" showInputMessage="1" promptTitle="Datum eingeben" prompt="Geben Sie hier den ersten Tag der Ausführung der Leistung ein." sqref="C5">
      <formula1>0</formula1>
    </dataValidation>
    <dataValidation type="date" operator="equal" allowBlank="1" showInputMessage="1" promptTitle="Datum eingeben" prompt="Geben sie hier den letzten Tag der Ausführung der Leistung ein." sqref="E5">
      <formula1>0</formula1>
    </dataValidation>
    <dataValidation type="whole" operator="greaterThanOrEqual" allowBlank="1" showInputMessage="1" promptTitle="Zahl der Fahrtage" prompt="Geben sie hier die Anzahl der Ausführungstage ein." sqref="C6">
      <formula1>1</formula1>
    </dataValidation>
    <dataValidation type="list" operator="equal" allowBlank="1" showInputMessage="1" prompt="Wählen Sie den Fahrzeugtyp." sqref="B8">
      <formula1>"Standard 12m,Gelenkzug 18m,Midi-Bus,NF 12m,Gelenk NF 18m,Reisewagen,Kombibus"</formula1>
    </dataValidation>
    <dataValidation type="whole" operator="equal" allowBlank="1" showInputMessage="1" prompt="Geben Sie hier das Fahrzeugalter in Monaten bei Beginn der Leistung ein." sqref="F8">
      <formula1>0</formula1>
    </dataValidation>
    <dataValidation type="decimal" operator="greaterThanOrEqual" allowBlank="1" showInputMessage="1" prompt="Geben Sie die Besetztkm an einem Fahrtag ein oder in F2 die Gesamt km für die Leistung." sqref="B11">
      <formula1>0</formula1>
    </dataValidation>
    <dataValidation type="decimal" operator="greaterThanOrEqual" allowBlank="1" showInputMessage="1" prompt="Geben sie hier die Leer-km für einen Fahrtag vor, oder bestimmen Sie in F13 den Leer Anteil." sqref="B13">
      <formula1>0</formula1>
    </dataValidation>
    <dataValidation operator="equal" allowBlank="1" showInputMessage="1" prompt="Oder geben Sie hier die Gesamtkm laut Ausschreibung ein." sqref="F14">
      <formula1>0</formula1>
    </dataValidation>
    <dataValidation type="decimal" operator="greaterThanOrEqual" allowBlank="1" showInputMessage="1" prompt="Geben Sie hier die Stunden je Fahrtag an." sqref="B17:B19">
      <formula1>0</formula1>
    </dataValidation>
    <dataValidation type="decimal" operator="greaterThanOrEqual" allowBlank="1" showInputMessage="1" prompt="Geben Sie hier die Linienstunden der Leistung ein." sqref="F17">
      <formula1>0</formula1>
    </dataValidation>
    <dataValidation operator="equal" allowBlank="1" showInputMessage="1" prompt="Oder geben Sie hier die Anteile an." sqref="F18:F19">
      <formula1>0</formula1>
    </dataValidation>
    <dataValidation type="whole" operator="greaterThanOrEqual" allowBlank="1" showInputMessage="1" prompt="Oder hier die aufzuwendenden Gesamtstunden für die Leistung eingeben." sqref="F21">
      <formula1>0</formula1>
    </dataValidation>
    <dataValidation operator="equal" allowBlank="1" showInputMessage="1" prompt="Geben sie den Fahrzeugwert zum jeweiligen Zeitpunkt an." sqref="F24:F25">
      <formula1>0</formula1>
    </dataValidation>
    <dataValidation operator="equal" allowBlank="1" showInputMessage="1" prompt="Oder geben Sie hier den Wertverlust des Fahrzeugs in einem Jahr an." sqref="F26">
      <formula1>0</formula1>
    </dataValidation>
    <dataValidation operator="equal" allowBlank="1" showInputMessage="1" prompt="Geben Sie hier die Kosten an, die Sie für die Finanzierung des Fahrzeugs im Jahr aufwenden." sqref="F29">
      <formula1>0</formula1>
    </dataValidation>
    <dataValidation operator="equal" allowBlank="1" showInputMessage="1" prompt="Geben Sie hier die Kosten an, die Sie für die Reifen für das Fahrzeug im Jahr aufwenden." sqref="F30">
      <formula1>0</formula1>
    </dataValidation>
    <dataValidation operator="equal" allowBlank="1" showInputMessage="1" prompt="Geben Sie hier die Kosten an, die Sie für die Versicherungen für das Fahrzeug im Jahr aufwenden." sqref="F31">
      <formula1>0</formula1>
    </dataValidation>
    <dataValidation type="decimal" operator="greaterThan" allowBlank="1" showInputMessage="1" prompt="Geben Sie hier den Verbrauch des Fahrzeugs in Litern je 100 km an." sqref="C36">
      <formula1>0</formula1>
    </dataValidation>
    <dataValidation type="decimal" operator="greaterThan" allowBlank="1" showInputMessage="1" prompt="Geben Sie hier den Netto Dieselpreis an." sqref="F36:F37">
      <formula1>0.7</formula1>
    </dataValidation>
    <dataValidation operator="equal" allowBlank="1" showInputMessage="1" prompt="Geben Sie hier den Stundensatz an, den Sie Ihren Fahrern bezahlen (einschließlich Zulagen, Zuschlägen, Steuern und Sozialabgaben)." sqref="F42">
      <formula1>0</formula1>
    </dataValidation>
    <dataValidation operator="equal" allowBlank="1" showInputMessage="1" prompt="Hier geben Sie eigene Texte zu Ihren sonstigen Kosten ein." sqref="A45:D48">
      <formula1>0</formula1>
    </dataValidation>
    <dataValidation operator="equal" allowBlank="1" showInputMessage="1" prompt="Geben Sie hier Ihre sonstigen Kosten an." sqref="F45:F48">
      <formula1>0</formula1>
    </dataValidation>
    <dataValidation operator="equal" allowBlank="1" prompt="Geben Sie hier Ihren gewünschten Gewinn an." sqref="F55">
      <formula1>0</formula1>
    </dataValidation>
    <dataValidation operator="equal" allowBlank="1" showInputMessage="1" prompt="Geben Sie hier den neuen Dieselpreis an." sqref="F70">
      <formula1>0</formula1>
    </dataValidation>
    <dataValidation operator="equal" allowBlank="1" showInputMessage="1" prompt="Geben Sie hier den neuen Stundensatz ein." sqref="F87">
      <formula1>0</formula1>
    </dataValidation>
    <dataValidation type="decimal" operator="greaterThanOrEqual" allowBlank="1" showInputMessage="1" prompt="Geben sie hier die Leer-km für einen Fahrtag vor, oder bestimmen Sie in F12 den Leer Anteil." sqref="B12">
      <formula1>0</formula1>
    </dataValidation>
  </dataValidations>
  <printOptions/>
  <pageMargins left="0.9840277777777777" right="0.27569444444444446" top="0.48958333333333337" bottom="0.7701388888888889" header="0.19652777777777777" footer="0.39375"/>
  <pageSetup horizontalDpi="300" verticalDpi="300" orientation="portrait" paperSize="9"/>
  <headerFooter alignWithMargins="0">
    <oddHeader>&amp;L&amp;14Dipl.-Ing. Matthias Hübner&amp;R&amp;14Verkehrsberatung</oddHeader>
    <oddFooter>&amp;L&amp;A
&amp;Z&amp;F&amp;R&amp;D - &amp;T
Seite &amp;P von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Matthias Hübner</cp:lastModifiedBy>
  <dcterms:modified xsi:type="dcterms:W3CDTF">2009-04-08T16:15:54Z</dcterms:modified>
  <cp:category/>
  <cp:version/>
  <cp:contentType/>
  <cp:contentStatus/>
</cp:coreProperties>
</file>